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<sst xmlns="http://schemas.openxmlformats.org/spreadsheetml/2006/main" count="273" uniqueCount="41">
  <si>
    <t>附件2:</t>
  </si>
  <si>
    <t>巴州各县2023年5月份建设工程综合价格信息</t>
  </si>
  <si>
    <t>单位:元</t>
  </si>
  <si>
    <t>序号</t>
  </si>
  <si>
    <t>材料名称及规格型号</t>
  </si>
  <si>
    <t>单位</t>
  </si>
  <si>
    <t>尉犁县</t>
  </si>
  <si>
    <t>含税</t>
  </si>
  <si>
    <t>不含税</t>
  </si>
  <si>
    <t>砂</t>
  </si>
  <si>
    <t>m³</t>
  </si>
  <si>
    <t>砾石</t>
  </si>
  <si>
    <t>天然砂石</t>
  </si>
  <si>
    <t>多孔砖</t>
  </si>
  <si>
    <t>千块</t>
  </si>
  <si>
    <t>水泥42.5</t>
  </si>
  <si>
    <t>t</t>
  </si>
  <si>
    <t>商品混凝土C15（泵送 到现场价)</t>
  </si>
  <si>
    <t>商品混凝土C20（泵送 到现场价)</t>
  </si>
  <si>
    <t>商品混凝土C25（泵送 到现场价)</t>
  </si>
  <si>
    <t>商品混凝土C30（泵送 到现场价)</t>
  </si>
  <si>
    <t>商品混凝土C35（泵送 到现场价)</t>
  </si>
  <si>
    <t>商品混凝土C40（泵送 到现场价)</t>
  </si>
  <si>
    <t>商品混凝土C45（泵送 到现场价)</t>
  </si>
  <si>
    <t>商品混凝土C50（泵送 到现场价)</t>
  </si>
  <si>
    <t>焉耆县</t>
  </si>
  <si>
    <t>博湖县</t>
  </si>
  <si>
    <t>和静县</t>
  </si>
  <si>
    <t>和硕县</t>
  </si>
  <si>
    <t>轮台县</t>
  </si>
  <si>
    <t>且末县</t>
  </si>
  <si>
    <t>若羌县</t>
  </si>
  <si>
    <t>钢材</t>
  </si>
  <si>
    <t>若羌</t>
  </si>
  <si>
    <t>加150元</t>
  </si>
  <si>
    <t>备注：以库尔勒市本月信息价为基准增加运费。</t>
  </si>
  <si>
    <t>且末</t>
  </si>
  <si>
    <t>加220元</t>
  </si>
  <si>
    <t>轮台</t>
  </si>
  <si>
    <t>加95元</t>
  </si>
  <si>
    <t>加18元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</si>
</sst>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  <numFmt numFmtId="178" formatCode="#,##0.00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7" fontId="0" fillId="18" borderId="11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0" fillId="18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5月_8月" xfId="63"/>
    <cellStyle name="差_7月" xfId="64"/>
    <cellStyle name="RowLevel_0" xfId="65"/>
    <cellStyle name="差_5月_10月" xfId="66"/>
    <cellStyle name="差_Sheet1_1" xfId="67"/>
    <cellStyle name="差_12月" xfId="68"/>
    <cellStyle name="差_Sheet1" xfId="69"/>
    <cellStyle name="差_5月_8月" xfId="70"/>
    <cellStyle name="差_4月" xfId="71"/>
    <cellStyle name="差_Sheet1_1_10月" xfId="72"/>
    <cellStyle name="好_12月" xfId="73"/>
    <cellStyle name="ColLevel_0" xfId="74"/>
    <cellStyle name="差_10月" xfId="75"/>
    <cellStyle name="差_2月" xfId="76"/>
    <cellStyle name="差_5月" xfId="77"/>
    <cellStyle name="差_5月_1" xfId="78"/>
    <cellStyle name="差_5月_7月" xfId="79"/>
    <cellStyle name="差_8月" xfId="80"/>
    <cellStyle name="差_9月" xfId="81"/>
    <cellStyle name="差_Sheet1_1_7月" xfId="82"/>
    <cellStyle name="差_Sheet1_1_8月" xfId="83"/>
    <cellStyle name="差_Sheet2" xfId="84"/>
    <cellStyle name="差_二稿" xfId="85"/>
    <cellStyle name="常规 2" xfId="86"/>
    <cellStyle name="好_10月" xfId="87"/>
    <cellStyle name="好_2月" xfId="88"/>
    <cellStyle name="好_4月" xfId="89"/>
    <cellStyle name="好_5月" xfId="90"/>
    <cellStyle name="好_5月_1" xfId="91"/>
    <cellStyle name="好_5月_10月" xfId="92"/>
    <cellStyle name="好_5月_7月" xfId="93"/>
    <cellStyle name="好_7月" xfId="94"/>
    <cellStyle name="好_8月" xfId="95"/>
    <cellStyle name="好_Sheet1_1_7月" xfId="96"/>
    <cellStyle name="好_9月" xfId="97"/>
    <cellStyle name="好_Sheet1_1_8月" xfId="98"/>
    <cellStyle name="好_Sheet1" xfId="99"/>
    <cellStyle name="好_Sheet1_1" xfId="100"/>
    <cellStyle name="好_Sheet1_1_10月" xfId="101"/>
    <cellStyle name="好_Sheet2" xfId="102"/>
    <cellStyle name="好_二稿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view="pageBreakPreview" zoomScaleSheetLayoutView="100" workbookViewId="0" topLeftCell="A115">
      <selection activeCell="D115" sqref="D115"/>
    </sheetView>
  </sheetViews>
  <sheetFormatPr defaultColWidth="9.00390625" defaultRowHeight="14.25"/>
  <cols>
    <col min="1" max="1" width="4.875" style="0" customWidth="1"/>
    <col min="2" max="2" width="42.625" style="0" customWidth="1"/>
    <col min="3" max="3" width="4.875" style="0" customWidth="1"/>
    <col min="4" max="4" width="12.00390625" style="2" customWidth="1"/>
    <col min="5" max="5" width="13.00390625" style="2" customWidth="1"/>
  </cols>
  <sheetData>
    <row r="1" spans="1:5" ht="31.5" customHeight="1">
      <c r="A1" s="3" t="s">
        <v>0</v>
      </c>
      <c r="B1" s="3"/>
      <c r="C1" s="3"/>
      <c r="D1" s="3"/>
      <c r="E1" s="3"/>
    </row>
    <row r="2" spans="1:5" s="1" customFormat="1" ht="29.25" customHeight="1">
      <c r="A2" s="4" t="s">
        <v>1</v>
      </c>
      <c r="B2" s="4"/>
      <c r="C2" s="4"/>
      <c r="D2" s="4"/>
      <c r="E2" s="5"/>
    </row>
    <row r="3" spans="1:5" ht="19.5" customHeight="1">
      <c r="A3" s="6" t="s">
        <v>2</v>
      </c>
      <c r="B3" s="6"/>
      <c r="C3" s="6"/>
      <c r="D3" s="6"/>
      <c r="E3" s="6"/>
    </row>
    <row r="4" spans="1:5" ht="21.75" customHeight="1">
      <c r="A4" s="7" t="s">
        <v>3</v>
      </c>
      <c r="B4" s="7" t="s">
        <v>4</v>
      </c>
      <c r="C4" s="7" t="s">
        <v>5</v>
      </c>
      <c r="D4" s="8" t="s">
        <v>6</v>
      </c>
      <c r="E4" s="8"/>
    </row>
    <row r="5" spans="1:5" ht="21.75" customHeight="1">
      <c r="A5" s="7"/>
      <c r="B5" s="7"/>
      <c r="C5" s="7"/>
      <c r="D5" s="7" t="s">
        <v>7</v>
      </c>
      <c r="E5" s="7" t="s">
        <v>8</v>
      </c>
    </row>
    <row r="6" spans="1:5" ht="21.75" customHeight="1">
      <c r="A6" s="9">
        <v>1</v>
      </c>
      <c r="B6" s="10" t="s">
        <v>9</v>
      </c>
      <c r="C6" s="11" t="s">
        <v>10</v>
      </c>
      <c r="D6" s="12">
        <f>51-5</f>
        <v>46</v>
      </c>
      <c r="E6" s="12">
        <f aca="true" t="shared" si="0" ref="E6:E9">ROUND(D6/(1+0.0295),3)</f>
        <v>44.682</v>
      </c>
    </row>
    <row r="7" spans="1:5" ht="21.75" customHeight="1">
      <c r="A7" s="9">
        <v>2</v>
      </c>
      <c r="B7" s="10" t="s">
        <v>11</v>
      </c>
      <c r="C7" s="11" t="s">
        <v>10</v>
      </c>
      <c r="D7" s="12">
        <f>51-5+8</f>
        <v>54</v>
      </c>
      <c r="E7" s="12">
        <f t="shared" si="0"/>
        <v>52.453</v>
      </c>
    </row>
    <row r="8" spans="1:5" ht="21.75" customHeight="1">
      <c r="A8" s="9">
        <v>3</v>
      </c>
      <c r="B8" s="10" t="s">
        <v>12</v>
      </c>
      <c r="C8" s="11" t="s">
        <v>10</v>
      </c>
      <c r="D8" s="12">
        <v>44</v>
      </c>
      <c r="E8" s="12">
        <f t="shared" si="0"/>
        <v>42.739</v>
      </c>
    </row>
    <row r="9" spans="1:5" ht="21.75" customHeight="1">
      <c r="A9" s="9">
        <v>4</v>
      </c>
      <c r="B9" s="10" t="s">
        <v>13</v>
      </c>
      <c r="C9" s="11" t="s">
        <v>14</v>
      </c>
      <c r="D9" s="12">
        <f>520-10-5+5+5</f>
        <v>515</v>
      </c>
      <c r="E9" s="12">
        <f t="shared" si="0"/>
        <v>500.243</v>
      </c>
    </row>
    <row r="10" spans="1:5" ht="21.75" customHeight="1">
      <c r="A10" s="9">
        <v>5</v>
      </c>
      <c r="B10" s="10" t="s">
        <v>15</v>
      </c>
      <c r="C10" s="11" t="s">
        <v>16</v>
      </c>
      <c r="D10" s="12">
        <f>510-5-5-5+5-20</f>
        <v>480</v>
      </c>
      <c r="E10" s="12">
        <f>ROUND(D10/(1+0.1275),3)</f>
        <v>425.721</v>
      </c>
    </row>
    <row r="11" spans="1:5" ht="21.75" customHeight="1">
      <c r="A11" s="9">
        <v>6</v>
      </c>
      <c r="B11" s="13" t="s">
        <v>17</v>
      </c>
      <c r="C11" s="9" t="s">
        <v>10</v>
      </c>
      <c r="D11" s="12">
        <f>330-5-5-5-5-5+20</f>
        <v>325</v>
      </c>
      <c r="E11" s="14">
        <f>ROUND(D11/(1+0.0295),3)</f>
        <v>315.687</v>
      </c>
    </row>
    <row r="12" spans="1:5" ht="21.75" customHeight="1">
      <c r="A12" s="9">
        <v>7</v>
      </c>
      <c r="B12" s="13" t="s">
        <v>18</v>
      </c>
      <c r="C12" s="11" t="s">
        <v>10</v>
      </c>
      <c r="D12" s="12">
        <f>340-5-5-5-5-5+20</f>
        <v>335</v>
      </c>
      <c r="E12" s="14">
        <f aca="true" t="shared" si="1" ref="E12:E18">ROUND(D12/(1+0.0295),3)</f>
        <v>325.401</v>
      </c>
    </row>
    <row r="13" spans="1:5" ht="21.75" customHeight="1">
      <c r="A13" s="9">
        <v>8</v>
      </c>
      <c r="B13" s="13" t="s">
        <v>19</v>
      </c>
      <c r="C13" s="11" t="s">
        <v>10</v>
      </c>
      <c r="D13" s="12">
        <f>350-5-5-5-5-5+20</f>
        <v>345</v>
      </c>
      <c r="E13" s="14">
        <f t="shared" si="1"/>
        <v>335.114</v>
      </c>
    </row>
    <row r="14" spans="1:5" ht="21.75" customHeight="1">
      <c r="A14" s="9">
        <v>9</v>
      </c>
      <c r="B14" s="13" t="s">
        <v>20</v>
      </c>
      <c r="C14" s="11" t="s">
        <v>10</v>
      </c>
      <c r="D14" s="12">
        <f>370-5-5-5-5-5+20</f>
        <v>365</v>
      </c>
      <c r="E14" s="14">
        <f t="shared" si="1"/>
        <v>354.541</v>
      </c>
    </row>
    <row r="15" spans="1:5" ht="21.75" customHeight="1">
      <c r="A15" s="9">
        <v>10</v>
      </c>
      <c r="B15" s="13" t="s">
        <v>21</v>
      </c>
      <c r="C15" s="11" t="s">
        <v>10</v>
      </c>
      <c r="D15" s="12">
        <f>400-5-5-5-5-5+20</f>
        <v>395</v>
      </c>
      <c r="E15" s="14">
        <f t="shared" si="1"/>
        <v>383.681</v>
      </c>
    </row>
    <row r="16" spans="1:5" ht="21.75" customHeight="1">
      <c r="A16" s="9">
        <v>11</v>
      </c>
      <c r="B16" s="13" t="s">
        <v>22</v>
      </c>
      <c r="C16" s="11" t="s">
        <v>10</v>
      </c>
      <c r="D16" s="12">
        <f>430-5-5-5-5-5+20</f>
        <v>425</v>
      </c>
      <c r="E16" s="14">
        <f t="shared" si="1"/>
        <v>412.822</v>
      </c>
    </row>
    <row r="17" spans="1:5" ht="21.75" customHeight="1">
      <c r="A17" s="9">
        <v>12</v>
      </c>
      <c r="B17" s="13" t="s">
        <v>23</v>
      </c>
      <c r="C17" s="11" t="s">
        <v>10</v>
      </c>
      <c r="D17" s="12">
        <f>470-5-5-5-5-5+20</f>
        <v>465</v>
      </c>
      <c r="E17" s="14">
        <f t="shared" si="1"/>
        <v>451.676</v>
      </c>
    </row>
    <row r="18" spans="1:5" ht="23.25" customHeight="1">
      <c r="A18" s="9">
        <v>13</v>
      </c>
      <c r="B18" s="13" t="s">
        <v>24</v>
      </c>
      <c r="C18" s="11" t="s">
        <v>10</v>
      </c>
      <c r="D18" s="12">
        <f>510-5-5-5-5-5+20</f>
        <v>505</v>
      </c>
      <c r="E18" s="14">
        <f t="shared" si="1"/>
        <v>490.529</v>
      </c>
    </row>
    <row r="19" spans="1:5" ht="21.75" customHeight="1">
      <c r="A19" s="15" t="s">
        <v>3</v>
      </c>
      <c r="B19" s="15" t="s">
        <v>4</v>
      </c>
      <c r="C19" s="15" t="s">
        <v>5</v>
      </c>
      <c r="D19" s="8" t="s">
        <v>25</v>
      </c>
      <c r="E19" s="8"/>
    </row>
    <row r="20" spans="1:5" ht="21.75" customHeight="1">
      <c r="A20" s="16"/>
      <c r="B20" s="16"/>
      <c r="C20" s="16"/>
      <c r="D20" s="7" t="s">
        <v>7</v>
      </c>
      <c r="E20" s="7" t="s">
        <v>8</v>
      </c>
    </row>
    <row r="21" spans="1:5" ht="21.75" customHeight="1">
      <c r="A21" s="9">
        <v>1</v>
      </c>
      <c r="B21" s="10" t="s">
        <v>9</v>
      </c>
      <c r="C21" s="11" t="s">
        <v>10</v>
      </c>
      <c r="D21" s="14">
        <f>46-2+5+1+2-3</f>
        <v>49</v>
      </c>
      <c r="E21" s="14">
        <f aca="true" t="shared" si="2" ref="E21:E24">ROUND(D21/(1+0.0295),3)</f>
        <v>47.596</v>
      </c>
    </row>
    <row r="22" spans="1:5" ht="21.75" customHeight="1">
      <c r="A22" s="9">
        <v>2</v>
      </c>
      <c r="B22" s="10" t="s">
        <v>11</v>
      </c>
      <c r="C22" s="11" t="s">
        <v>10</v>
      </c>
      <c r="D22" s="14">
        <f>46-2+5+1+2-3+8</f>
        <v>57</v>
      </c>
      <c r="E22" s="14">
        <f t="shared" si="2"/>
        <v>55.367</v>
      </c>
    </row>
    <row r="23" spans="1:5" ht="21.75" customHeight="1">
      <c r="A23" s="9">
        <v>3</v>
      </c>
      <c r="B23" s="10" t="s">
        <v>12</v>
      </c>
      <c r="C23" s="11" t="s">
        <v>10</v>
      </c>
      <c r="D23" s="12">
        <f>31-1+5+1+2</f>
        <v>38</v>
      </c>
      <c r="E23" s="14">
        <f t="shared" si="2"/>
        <v>36.911</v>
      </c>
    </row>
    <row r="24" spans="1:5" ht="21.75" customHeight="1">
      <c r="A24" s="9">
        <v>4</v>
      </c>
      <c r="B24" s="10" t="s">
        <v>13</v>
      </c>
      <c r="C24" s="11" t="s">
        <v>14</v>
      </c>
      <c r="D24" s="12">
        <f>505+5</f>
        <v>510</v>
      </c>
      <c r="E24" s="14">
        <f t="shared" si="2"/>
        <v>495.386</v>
      </c>
    </row>
    <row r="25" spans="1:5" ht="21.75" customHeight="1">
      <c r="A25" s="9">
        <v>5</v>
      </c>
      <c r="B25" s="10" t="s">
        <v>15</v>
      </c>
      <c r="C25" s="11" t="s">
        <v>16</v>
      </c>
      <c r="D25" s="12">
        <f>520-5-5-5-10</f>
        <v>495</v>
      </c>
      <c r="E25" s="12">
        <f>ROUND(D25/(1+0.1275),3)</f>
        <v>439.024</v>
      </c>
    </row>
    <row r="26" spans="1:5" ht="21.75" customHeight="1">
      <c r="A26" s="9">
        <v>6</v>
      </c>
      <c r="B26" s="13" t="s">
        <v>17</v>
      </c>
      <c r="C26" s="9" t="s">
        <v>10</v>
      </c>
      <c r="D26" s="12">
        <f>325-5-5-5-5+5</f>
        <v>310</v>
      </c>
      <c r="E26" s="12">
        <f>ROUND(D26/(1+0.0295),3)</f>
        <v>301.117</v>
      </c>
    </row>
    <row r="27" spans="1:5" ht="21.75" customHeight="1">
      <c r="A27" s="9">
        <v>7</v>
      </c>
      <c r="B27" s="13" t="s">
        <v>18</v>
      </c>
      <c r="C27" s="11" t="s">
        <v>10</v>
      </c>
      <c r="D27" s="14">
        <f>335-5-5-5-5+5</f>
        <v>320</v>
      </c>
      <c r="E27" s="14">
        <f aca="true" t="shared" si="3" ref="E27:E33">ROUND(D27/(1+0.0295),3)</f>
        <v>310.831</v>
      </c>
    </row>
    <row r="28" spans="1:5" ht="21.75" customHeight="1">
      <c r="A28" s="9">
        <v>8</v>
      </c>
      <c r="B28" s="13" t="s">
        <v>19</v>
      </c>
      <c r="C28" s="11" t="s">
        <v>10</v>
      </c>
      <c r="D28" s="14">
        <f>350-5-5-5-5+5</f>
        <v>335</v>
      </c>
      <c r="E28" s="14">
        <f t="shared" si="3"/>
        <v>325.401</v>
      </c>
    </row>
    <row r="29" spans="1:5" ht="21.75" customHeight="1">
      <c r="A29" s="9">
        <v>9</v>
      </c>
      <c r="B29" s="13" t="s">
        <v>20</v>
      </c>
      <c r="C29" s="11" t="s">
        <v>10</v>
      </c>
      <c r="D29" s="14">
        <f>370-5-5-5-5+5</f>
        <v>355</v>
      </c>
      <c r="E29" s="14">
        <f t="shared" si="3"/>
        <v>344.828</v>
      </c>
    </row>
    <row r="30" spans="1:5" ht="21.75" customHeight="1">
      <c r="A30" s="9">
        <v>10</v>
      </c>
      <c r="B30" s="13" t="s">
        <v>21</v>
      </c>
      <c r="C30" s="11" t="s">
        <v>10</v>
      </c>
      <c r="D30" s="14">
        <f>400-5-5-5-5+5</f>
        <v>385</v>
      </c>
      <c r="E30" s="14">
        <f t="shared" si="3"/>
        <v>373.968</v>
      </c>
    </row>
    <row r="31" spans="1:5" ht="21.75" customHeight="1">
      <c r="A31" s="9">
        <v>11</v>
      </c>
      <c r="B31" s="13" t="s">
        <v>22</v>
      </c>
      <c r="C31" s="11" t="s">
        <v>10</v>
      </c>
      <c r="D31" s="14">
        <f>430-5-5-5-5+5</f>
        <v>415</v>
      </c>
      <c r="E31" s="14">
        <f t="shared" si="3"/>
        <v>403.108</v>
      </c>
    </row>
    <row r="32" spans="1:5" ht="21.75" customHeight="1">
      <c r="A32" s="9">
        <v>12</v>
      </c>
      <c r="B32" s="13" t="s">
        <v>23</v>
      </c>
      <c r="C32" s="11" t="s">
        <v>10</v>
      </c>
      <c r="D32" s="14">
        <f>460-5-5-5-5+5</f>
        <v>445</v>
      </c>
      <c r="E32" s="14">
        <f t="shared" si="3"/>
        <v>432.249</v>
      </c>
    </row>
    <row r="33" spans="1:5" ht="21.75" customHeight="1">
      <c r="A33" s="9">
        <v>13</v>
      </c>
      <c r="B33" s="13" t="s">
        <v>24</v>
      </c>
      <c r="C33" s="11" t="s">
        <v>10</v>
      </c>
      <c r="D33" s="14">
        <f>490-5-5-5-5+5</f>
        <v>475</v>
      </c>
      <c r="E33" s="14">
        <f t="shared" si="3"/>
        <v>461.389</v>
      </c>
    </row>
    <row r="34" spans="1:5" ht="21.75" customHeight="1">
      <c r="A34" s="15" t="s">
        <v>3</v>
      </c>
      <c r="B34" s="15" t="s">
        <v>4</v>
      </c>
      <c r="C34" s="15" t="s">
        <v>5</v>
      </c>
      <c r="D34" s="8" t="s">
        <v>26</v>
      </c>
      <c r="E34" s="8"/>
    </row>
    <row r="35" spans="1:5" ht="21.75" customHeight="1">
      <c r="A35" s="16"/>
      <c r="B35" s="16"/>
      <c r="C35" s="16"/>
      <c r="D35" s="7" t="s">
        <v>7</v>
      </c>
      <c r="E35" s="7" t="s">
        <v>8</v>
      </c>
    </row>
    <row r="36" spans="1:5" ht="26.25" customHeight="1">
      <c r="A36" s="9">
        <v>1</v>
      </c>
      <c r="B36" s="10" t="s">
        <v>9</v>
      </c>
      <c r="C36" s="11" t="s">
        <v>10</v>
      </c>
      <c r="D36" s="14">
        <v>51</v>
      </c>
      <c r="E36" s="14">
        <f aca="true" t="shared" si="4" ref="E36:E39">ROUND(D36/(1+0.0295),3)</f>
        <v>49.539</v>
      </c>
    </row>
    <row r="37" spans="1:5" ht="21.75" customHeight="1">
      <c r="A37" s="9">
        <v>2</v>
      </c>
      <c r="B37" s="10" t="s">
        <v>11</v>
      </c>
      <c r="C37" s="11" t="s">
        <v>10</v>
      </c>
      <c r="D37" s="14">
        <v>56</v>
      </c>
      <c r="E37" s="14">
        <f t="shared" si="4"/>
        <v>54.395</v>
      </c>
    </row>
    <row r="38" spans="1:5" ht="21.75" customHeight="1">
      <c r="A38" s="9">
        <v>3</v>
      </c>
      <c r="B38" s="10" t="s">
        <v>12</v>
      </c>
      <c r="C38" s="11" t="s">
        <v>10</v>
      </c>
      <c r="D38" s="12">
        <f>35-2+5+1</f>
        <v>39</v>
      </c>
      <c r="E38" s="12">
        <f t="shared" si="4"/>
        <v>37.882</v>
      </c>
    </row>
    <row r="39" spans="1:5" ht="21.75" customHeight="1">
      <c r="A39" s="9">
        <v>4</v>
      </c>
      <c r="B39" s="10" t="s">
        <v>13</v>
      </c>
      <c r="C39" s="11" t="s">
        <v>14</v>
      </c>
      <c r="D39" s="12">
        <f>530-10-5-5+5</f>
        <v>515</v>
      </c>
      <c r="E39" s="12">
        <f t="shared" si="4"/>
        <v>500.243</v>
      </c>
    </row>
    <row r="40" spans="1:5" ht="24" customHeight="1">
      <c r="A40" s="9">
        <v>5</v>
      </c>
      <c r="B40" s="10" t="s">
        <v>15</v>
      </c>
      <c r="C40" s="11" t="s">
        <v>16</v>
      </c>
      <c r="D40" s="12">
        <f>535-5-5</f>
        <v>525</v>
      </c>
      <c r="E40" s="12">
        <f>ROUND(D40/(1+0.1275),3)</f>
        <v>465.632</v>
      </c>
    </row>
    <row r="41" spans="1:5" ht="25.5" customHeight="1">
      <c r="A41" s="9">
        <v>6</v>
      </c>
      <c r="B41" s="13" t="s">
        <v>17</v>
      </c>
      <c r="C41" s="9" t="s">
        <v>10</v>
      </c>
      <c r="D41" s="14">
        <f>320-5-5-5-5+5</f>
        <v>305</v>
      </c>
      <c r="E41" s="14">
        <f>ROUND(D41/(1+0.0295),3)</f>
        <v>296.26</v>
      </c>
    </row>
    <row r="42" spans="1:5" ht="25.5" customHeight="1">
      <c r="A42" s="9">
        <v>7</v>
      </c>
      <c r="B42" s="13" t="s">
        <v>18</v>
      </c>
      <c r="C42" s="11" t="s">
        <v>10</v>
      </c>
      <c r="D42" s="14">
        <f>330-5-5-5-5+5</f>
        <v>315</v>
      </c>
      <c r="E42" s="14">
        <f aca="true" t="shared" si="5" ref="E42:E48">ROUND(D42/(1+0.0295),3)</f>
        <v>305.974</v>
      </c>
    </row>
    <row r="43" spans="1:5" ht="25.5" customHeight="1">
      <c r="A43" s="9">
        <v>8</v>
      </c>
      <c r="B43" s="13" t="s">
        <v>19</v>
      </c>
      <c r="C43" s="11" t="s">
        <v>10</v>
      </c>
      <c r="D43" s="14">
        <f>340-5-5-5-5+5</f>
        <v>325</v>
      </c>
      <c r="E43" s="14">
        <f t="shared" si="5"/>
        <v>315.687</v>
      </c>
    </row>
    <row r="44" spans="1:5" ht="24" customHeight="1">
      <c r="A44" s="9">
        <v>9</v>
      </c>
      <c r="B44" s="13" t="s">
        <v>20</v>
      </c>
      <c r="C44" s="11" t="s">
        <v>10</v>
      </c>
      <c r="D44" s="14">
        <f>360-5-5-5-5+5</f>
        <v>345</v>
      </c>
      <c r="E44" s="14">
        <f t="shared" si="5"/>
        <v>335.114</v>
      </c>
    </row>
    <row r="45" spans="1:5" ht="24" customHeight="1">
      <c r="A45" s="9">
        <v>10</v>
      </c>
      <c r="B45" s="13" t="s">
        <v>21</v>
      </c>
      <c r="C45" s="11" t="s">
        <v>10</v>
      </c>
      <c r="D45" s="14">
        <f>390-5-5-5-5+5</f>
        <v>375</v>
      </c>
      <c r="E45" s="14">
        <f t="shared" si="5"/>
        <v>364.254</v>
      </c>
    </row>
    <row r="46" spans="1:5" ht="24" customHeight="1">
      <c r="A46" s="9">
        <v>11</v>
      </c>
      <c r="B46" s="13" t="s">
        <v>22</v>
      </c>
      <c r="C46" s="11" t="s">
        <v>10</v>
      </c>
      <c r="D46" s="14">
        <f>420-5-5-5-5+5</f>
        <v>405</v>
      </c>
      <c r="E46" s="14">
        <f t="shared" si="5"/>
        <v>393.395</v>
      </c>
    </row>
    <row r="47" spans="1:5" ht="24" customHeight="1">
      <c r="A47" s="9">
        <v>12</v>
      </c>
      <c r="B47" s="13" t="s">
        <v>23</v>
      </c>
      <c r="C47" s="11" t="s">
        <v>10</v>
      </c>
      <c r="D47" s="14">
        <f>450-5-5-5-5+5</f>
        <v>435</v>
      </c>
      <c r="E47" s="14">
        <f t="shared" si="5"/>
        <v>422.535</v>
      </c>
    </row>
    <row r="48" spans="1:5" ht="21.75" customHeight="1">
      <c r="A48" s="9">
        <v>13</v>
      </c>
      <c r="B48" s="13" t="s">
        <v>24</v>
      </c>
      <c r="C48" s="11" t="s">
        <v>10</v>
      </c>
      <c r="D48" s="14">
        <f>480-5-5-5-5+5</f>
        <v>465</v>
      </c>
      <c r="E48" s="14">
        <f t="shared" si="5"/>
        <v>451.676</v>
      </c>
    </row>
    <row r="49" spans="1:5" ht="21.75" customHeight="1">
      <c r="A49" s="15" t="s">
        <v>3</v>
      </c>
      <c r="B49" s="15" t="s">
        <v>4</v>
      </c>
      <c r="C49" s="15" t="s">
        <v>5</v>
      </c>
      <c r="D49" s="8" t="s">
        <v>27</v>
      </c>
      <c r="E49" s="8"/>
    </row>
    <row r="50" spans="1:5" ht="21.75" customHeight="1">
      <c r="A50" s="16"/>
      <c r="B50" s="16"/>
      <c r="C50" s="16"/>
      <c r="D50" s="7" t="s">
        <v>7</v>
      </c>
      <c r="E50" s="7" t="s">
        <v>8</v>
      </c>
    </row>
    <row r="51" spans="1:5" ht="27" customHeight="1">
      <c r="A51" s="9">
        <v>1</v>
      </c>
      <c r="B51" s="10" t="s">
        <v>9</v>
      </c>
      <c r="C51" s="11" t="s">
        <v>10</v>
      </c>
      <c r="D51" s="12">
        <f>48-2+3+1-5+2-2</f>
        <v>45</v>
      </c>
      <c r="E51" s="12">
        <f aca="true" t="shared" si="6" ref="E51:E54">ROUND(D51/(1+0.0295),3)</f>
        <v>43.711</v>
      </c>
    </row>
    <row r="52" spans="1:5" ht="27" customHeight="1">
      <c r="A52" s="9">
        <v>2</v>
      </c>
      <c r="B52" s="10" t="s">
        <v>11</v>
      </c>
      <c r="C52" s="11" t="s">
        <v>10</v>
      </c>
      <c r="D52" s="12">
        <f>48-2+3+1+5+5</f>
        <v>60</v>
      </c>
      <c r="E52" s="12">
        <f t="shared" si="6"/>
        <v>58.281</v>
      </c>
    </row>
    <row r="53" spans="1:5" ht="27" customHeight="1">
      <c r="A53" s="9">
        <v>3</v>
      </c>
      <c r="B53" s="10" t="s">
        <v>12</v>
      </c>
      <c r="C53" s="11" t="s">
        <v>10</v>
      </c>
      <c r="D53" s="12">
        <f>30-2+4+1+2+2+2</f>
        <v>39</v>
      </c>
      <c r="E53" s="12">
        <f t="shared" si="6"/>
        <v>37.882</v>
      </c>
    </row>
    <row r="54" spans="1:5" ht="27" customHeight="1">
      <c r="A54" s="9">
        <v>4</v>
      </c>
      <c r="B54" s="10" t="s">
        <v>13</v>
      </c>
      <c r="C54" s="11" t="s">
        <v>14</v>
      </c>
      <c r="D54" s="12">
        <f>520-10-5+5+50+20</f>
        <v>580</v>
      </c>
      <c r="E54" s="12">
        <f t="shared" si="6"/>
        <v>563.38</v>
      </c>
    </row>
    <row r="55" spans="1:5" ht="27" customHeight="1">
      <c r="A55" s="9">
        <v>5</v>
      </c>
      <c r="B55" s="10" t="s">
        <v>15</v>
      </c>
      <c r="C55" s="11" t="s">
        <v>16</v>
      </c>
      <c r="D55" s="12">
        <f>505-5-10-10+30</f>
        <v>510</v>
      </c>
      <c r="E55" s="12">
        <f>ROUND(D55/(1+0.1275),3)</f>
        <v>452.328</v>
      </c>
    </row>
    <row r="56" spans="1:5" ht="27" customHeight="1">
      <c r="A56" s="9">
        <v>6</v>
      </c>
      <c r="B56" s="13" t="s">
        <v>17</v>
      </c>
      <c r="C56" s="9" t="s">
        <v>10</v>
      </c>
      <c r="D56" s="12">
        <f>350-5-5-10-5</f>
        <v>325</v>
      </c>
      <c r="E56" s="12">
        <f>ROUND(D56/(1+0.0295),3)</f>
        <v>315.687</v>
      </c>
    </row>
    <row r="57" spans="1:5" ht="27" customHeight="1">
      <c r="A57" s="9">
        <v>7</v>
      </c>
      <c r="B57" s="13" t="s">
        <v>18</v>
      </c>
      <c r="C57" s="11" t="s">
        <v>10</v>
      </c>
      <c r="D57" s="12">
        <f>360-5-5-10-5</f>
        <v>335</v>
      </c>
      <c r="E57" s="12">
        <f aca="true" t="shared" si="7" ref="E57:E63">ROUND(D57/(1+0.0295),3)</f>
        <v>325.401</v>
      </c>
    </row>
    <row r="58" spans="1:5" ht="25.5" customHeight="1">
      <c r="A58" s="9">
        <v>8</v>
      </c>
      <c r="B58" s="13" t="s">
        <v>19</v>
      </c>
      <c r="C58" s="11" t="s">
        <v>10</v>
      </c>
      <c r="D58" s="14">
        <f>370-5-5-10-5</f>
        <v>345</v>
      </c>
      <c r="E58" s="14">
        <f t="shared" si="7"/>
        <v>335.114</v>
      </c>
    </row>
    <row r="59" spans="1:5" ht="27" customHeight="1">
      <c r="A59" s="9">
        <v>9</v>
      </c>
      <c r="B59" s="13" t="s">
        <v>20</v>
      </c>
      <c r="C59" s="11" t="s">
        <v>10</v>
      </c>
      <c r="D59" s="14">
        <f>390-5-5-10-5</f>
        <v>365</v>
      </c>
      <c r="E59" s="14">
        <f t="shared" si="7"/>
        <v>354.541</v>
      </c>
    </row>
    <row r="60" spans="1:5" ht="27" customHeight="1">
      <c r="A60" s="9">
        <v>10</v>
      </c>
      <c r="B60" s="13" t="s">
        <v>21</v>
      </c>
      <c r="C60" s="11" t="s">
        <v>10</v>
      </c>
      <c r="D60" s="14">
        <f>420-5-5-10-5</f>
        <v>395</v>
      </c>
      <c r="E60" s="14">
        <f t="shared" si="7"/>
        <v>383.681</v>
      </c>
    </row>
    <row r="61" spans="1:5" ht="27" customHeight="1">
      <c r="A61" s="9">
        <v>11</v>
      </c>
      <c r="B61" s="13" t="s">
        <v>22</v>
      </c>
      <c r="C61" s="11" t="s">
        <v>10</v>
      </c>
      <c r="D61" s="14">
        <f>450-5-5-10-5</f>
        <v>425</v>
      </c>
      <c r="E61" s="14">
        <f t="shared" si="7"/>
        <v>412.822</v>
      </c>
    </row>
    <row r="62" spans="1:5" ht="27" customHeight="1">
      <c r="A62" s="9">
        <v>12</v>
      </c>
      <c r="B62" s="13" t="s">
        <v>23</v>
      </c>
      <c r="C62" s="11" t="s">
        <v>10</v>
      </c>
      <c r="D62" s="14">
        <f>480-5-5-10-5</f>
        <v>455</v>
      </c>
      <c r="E62" s="14">
        <f t="shared" si="7"/>
        <v>441.962</v>
      </c>
    </row>
    <row r="63" spans="1:5" ht="27" customHeight="1">
      <c r="A63" s="9">
        <v>13</v>
      </c>
      <c r="B63" s="13" t="s">
        <v>24</v>
      </c>
      <c r="C63" s="11" t="s">
        <v>10</v>
      </c>
      <c r="D63" s="14">
        <f>500-5-5-10-5</f>
        <v>475</v>
      </c>
      <c r="E63" s="14">
        <f t="shared" si="7"/>
        <v>461.389</v>
      </c>
    </row>
    <row r="64" spans="1:5" ht="21.75" customHeight="1">
      <c r="A64" s="15" t="s">
        <v>3</v>
      </c>
      <c r="B64" s="15" t="s">
        <v>4</v>
      </c>
      <c r="C64" s="15" t="s">
        <v>5</v>
      </c>
      <c r="D64" s="8" t="s">
        <v>28</v>
      </c>
      <c r="E64" s="8"/>
    </row>
    <row r="65" spans="1:5" ht="21.75" customHeight="1">
      <c r="A65" s="16"/>
      <c r="B65" s="16"/>
      <c r="C65" s="16"/>
      <c r="D65" s="7" t="s">
        <v>7</v>
      </c>
      <c r="E65" s="7" t="s">
        <v>8</v>
      </c>
    </row>
    <row r="66" spans="1:5" ht="21.75" customHeight="1">
      <c r="A66" s="9">
        <v>1</v>
      </c>
      <c r="B66" s="10" t="s">
        <v>9</v>
      </c>
      <c r="C66" s="11" t="s">
        <v>10</v>
      </c>
      <c r="D66" s="14">
        <f>40-2+2+2</f>
        <v>42</v>
      </c>
      <c r="E66" s="14">
        <f aca="true" t="shared" si="8" ref="E66:E69">ROUND(D66/(1+0.0295),3)</f>
        <v>40.797</v>
      </c>
    </row>
    <row r="67" spans="1:5" ht="21.75" customHeight="1">
      <c r="A67" s="9">
        <v>2</v>
      </c>
      <c r="B67" s="10" t="s">
        <v>11</v>
      </c>
      <c r="C67" s="11" t="s">
        <v>10</v>
      </c>
      <c r="D67" s="14">
        <f>40-2+2+2+4-2+5</f>
        <v>49</v>
      </c>
      <c r="E67" s="14">
        <f t="shared" si="8"/>
        <v>47.596</v>
      </c>
    </row>
    <row r="68" spans="1:5" ht="21.75" customHeight="1">
      <c r="A68" s="9">
        <v>3</v>
      </c>
      <c r="B68" s="10" t="s">
        <v>12</v>
      </c>
      <c r="C68" s="11" t="s">
        <v>10</v>
      </c>
      <c r="D68" s="14">
        <f>25+2+2+4+2</f>
        <v>35</v>
      </c>
      <c r="E68" s="14">
        <f t="shared" si="8"/>
        <v>33.997</v>
      </c>
    </row>
    <row r="69" spans="1:5" ht="21.75" customHeight="1">
      <c r="A69" s="9">
        <v>4</v>
      </c>
      <c r="B69" s="10" t="s">
        <v>13</v>
      </c>
      <c r="C69" s="11" t="s">
        <v>14</v>
      </c>
      <c r="D69" s="12">
        <f>530-10-5-5</f>
        <v>510</v>
      </c>
      <c r="E69" s="12">
        <f t="shared" si="8"/>
        <v>495.386</v>
      </c>
    </row>
    <row r="70" spans="1:5" ht="21.75" customHeight="1">
      <c r="A70" s="9">
        <v>5</v>
      </c>
      <c r="B70" s="10" t="s">
        <v>15</v>
      </c>
      <c r="C70" s="11" t="s">
        <v>16</v>
      </c>
      <c r="D70" s="12">
        <f>530-10-5-5+10</f>
        <v>520</v>
      </c>
      <c r="E70" s="12">
        <f>ROUND(D70/(1+0.1275),3)</f>
        <v>461.197</v>
      </c>
    </row>
    <row r="71" spans="1:5" ht="21.75" customHeight="1">
      <c r="A71" s="9">
        <v>6</v>
      </c>
      <c r="B71" s="13" t="s">
        <v>17</v>
      </c>
      <c r="C71" s="9" t="s">
        <v>10</v>
      </c>
      <c r="D71" s="14">
        <f>350-5-5-5+5-10</f>
        <v>330</v>
      </c>
      <c r="E71" s="14">
        <f>ROUND(D71/(1+0.0295),3)</f>
        <v>320.544</v>
      </c>
    </row>
    <row r="72" spans="1:5" ht="21.75" customHeight="1">
      <c r="A72" s="9">
        <v>7</v>
      </c>
      <c r="B72" s="13" t="s">
        <v>18</v>
      </c>
      <c r="C72" s="11" t="s">
        <v>10</v>
      </c>
      <c r="D72" s="14">
        <f>360-5-5-5+5-10</f>
        <v>340</v>
      </c>
      <c r="E72" s="14">
        <f aca="true" t="shared" si="9" ref="E72:E78">ROUND(D72/(1+0.0295),3)</f>
        <v>330.257</v>
      </c>
    </row>
    <row r="73" spans="1:5" ht="21.75" customHeight="1">
      <c r="A73" s="9">
        <v>8</v>
      </c>
      <c r="B73" s="13" t="s">
        <v>19</v>
      </c>
      <c r="C73" s="11" t="s">
        <v>10</v>
      </c>
      <c r="D73" s="14">
        <f>370-5-5-5+5-10</f>
        <v>350</v>
      </c>
      <c r="E73" s="14">
        <f t="shared" si="9"/>
        <v>339.971</v>
      </c>
    </row>
    <row r="74" spans="1:5" ht="21.75" customHeight="1">
      <c r="A74" s="9">
        <v>9</v>
      </c>
      <c r="B74" s="13" t="s">
        <v>20</v>
      </c>
      <c r="C74" s="11" t="s">
        <v>10</v>
      </c>
      <c r="D74" s="14">
        <f>380-5-5-5+5-10</f>
        <v>360</v>
      </c>
      <c r="E74" s="14">
        <f t="shared" si="9"/>
        <v>349.684</v>
      </c>
    </row>
    <row r="75" spans="1:5" ht="21.75" customHeight="1">
      <c r="A75" s="9">
        <v>10</v>
      </c>
      <c r="B75" s="13" t="s">
        <v>21</v>
      </c>
      <c r="C75" s="11" t="s">
        <v>10</v>
      </c>
      <c r="D75" s="14">
        <f>410-5-5-5+5-10</f>
        <v>390</v>
      </c>
      <c r="E75" s="14">
        <f t="shared" si="9"/>
        <v>378.825</v>
      </c>
    </row>
    <row r="76" spans="1:5" ht="21.75" customHeight="1">
      <c r="A76" s="9">
        <v>11</v>
      </c>
      <c r="B76" s="13" t="s">
        <v>22</v>
      </c>
      <c r="C76" s="11" t="s">
        <v>10</v>
      </c>
      <c r="D76" s="14">
        <f>440-5-5-5+5-10</f>
        <v>420</v>
      </c>
      <c r="E76" s="14">
        <f t="shared" si="9"/>
        <v>407.965</v>
      </c>
    </row>
    <row r="77" spans="1:5" ht="21.75" customHeight="1">
      <c r="A77" s="9">
        <v>12</v>
      </c>
      <c r="B77" s="13" t="s">
        <v>23</v>
      </c>
      <c r="C77" s="11" t="s">
        <v>10</v>
      </c>
      <c r="D77" s="14">
        <f>470-5-5-5+5-10</f>
        <v>450</v>
      </c>
      <c r="E77" s="14">
        <f t="shared" si="9"/>
        <v>437.105</v>
      </c>
    </row>
    <row r="78" spans="1:5" ht="21.75" customHeight="1">
      <c r="A78" s="9">
        <v>13</v>
      </c>
      <c r="B78" s="13" t="s">
        <v>24</v>
      </c>
      <c r="C78" s="11" t="s">
        <v>10</v>
      </c>
      <c r="D78" s="14">
        <f>510-5-5-5+5-10</f>
        <v>490</v>
      </c>
      <c r="E78" s="14">
        <f t="shared" si="9"/>
        <v>475.959</v>
      </c>
    </row>
    <row r="79" spans="1:5" ht="21.75" customHeight="1">
      <c r="A79" s="15" t="s">
        <v>3</v>
      </c>
      <c r="B79" s="15" t="s">
        <v>4</v>
      </c>
      <c r="C79" s="15" t="s">
        <v>5</v>
      </c>
      <c r="D79" s="8" t="s">
        <v>29</v>
      </c>
      <c r="E79" s="8"/>
    </row>
    <row r="80" spans="1:5" ht="21.75" customHeight="1">
      <c r="A80" s="16"/>
      <c r="B80" s="16"/>
      <c r="C80" s="16"/>
      <c r="D80" s="7" t="s">
        <v>7</v>
      </c>
      <c r="E80" s="7" t="s">
        <v>8</v>
      </c>
    </row>
    <row r="81" spans="1:5" ht="30" customHeight="1">
      <c r="A81" s="9">
        <v>1</v>
      </c>
      <c r="B81" s="10" t="s">
        <v>9</v>
      </c>
      <c r="C81" s="11" t="s">
        <v>10</v>
      </c>
      <c r="D81" s="12">
        <f>60-2+2+1</f>
        <v>61</v>
      </c>
      <c r="E81" s="12">
        <f aca="true" t="shared" si="10" ref="E81:E84">ROUND(D81/(1+0.0295),3)</f>
        <v>59.252</v>
      </c>
    </row>
    <row r="82" spans="1:5" ht="30" customHeight="1">
      <c r="A82" s="9">
        <v>2</v>
      </c>
      <c r="B82" s="10" t="s">
        <v>11</v>
      </c>
      <c r="C82" s="11" t="s">
        <v>10</v>
      </c>
      <c r="D82" s="12">
        <f>50-2+2+1+5</f>
        <v>56</v>
      </c>
      <c r="E82" s="12">
        <f t="shared" si="10"/>
        <v>54.395</v>
      </c>
    </row>
    <row r="83" spans="1:5" ht="30" customHeight="1">
      <c r="A83" s="9">
        <v>3</v>
      </c>
      <c r="B83" s="10" t="s">
        <v>12</v>
      </c>
      <c r="C83" s="11" t="s">
        <v>10</v>
      </c>
      <c r="D83" s="12">
        <f>40-2+2+1</f>
        <v>41</v>
      </c>
      <c r="E83" s="12">
        <f t="shared" si="10"/>
        <v>39.825</v>
      </c>
    </row>
    <row r="84" spans="1:5" ht="30" customHeight="1">
      <c r="A84" s="9">
        <v>4</v>
      </c>
      <c r="B84" s="10" t="s">
        <v>13</v>
      </c>
      <c r="C84" s="11" t="s">
        <v>14</v>
      </c>
      <c r="D84" s="12">
        <f>650-15-10-5+15+10-40</f>
        <v>605</v>
      </c>
      <c r="E84" s="12">
        <f t="shared" si="10"/>
        <v>587.664</v>
      </c>
    </row>
    <row r="85" spans="1:5" ht="30" customHeight="1">
      <c r="A85" s="9">
        <v>5</v>
      </c>
      <c r="B85" s="10" t="s">
        <v>15</v>
      </c>
      <c r="C85" s="11" t="s">
        <v>16</v>
      </c>
      <c r="D85" s="14">
        <f>590-10-5-20</f>
        <v>555</v>
      </c>
      <c r="E85" s="14">
        <f>ROUND(D85/(1+0.1275),3)</f>
        <v>492.239</v>
      </c>
    </row>
    <row r="86" spans="1:5" ht="25.5" customHeight="1">
      <c r="A86" s="9">
        <v>6</v>
      </c>
      <c r="B86" s="13" t="s">
        <v>17</v>
      </c>
      <c r="C86" s="9" t="s">
        <v>10</v>
      </c>
      <c r="D86" s="14">
        <f>400-5-5-5-10-10</f>
        <v>365</v>
      </c>
      <c r="E86" s="14">
        <f>ROUND(D86/(1+0.0295),3)</f>
        <v>354.541</v>
      </c>
    </row>
    <row r="87" spans="1:5" ht="25.5" customHeight="1">
      <c r="A87" s="9">
        <v>7</v>
      </c>
      <c r="B87" s="13" t="s">
        <v>18</v>
      </c>
      <c r="C87" s="11" t="s">
        <v>10</v>
      </c>
      <c r="D87" s="14">
        <f>410-5-5-5-10-10-10</f>
        <v>365</v>
      </c>
      <c r="E87" s="14">
        <f aca="true" t="shared" si="11" ref="E87:E93">ROUND(D87/(1+0.0295),3)</f>
        <v>354.541</v>
      </c>
    </row>
    <row r="88" spans="1:5" ht="25.5" customHeight="1">
      <c r="A88" s="9">
        <v>8</v>
      </c>
      <c r="B88" s="13" t="s">
        <v>19</v>
      </c>
      <c r="C88" s="11" t="s">
        <v>10</v>
      </c>
      <c r="D88" s="14">
        <f>420-5-5-5-10-10-10</f>
        <v>375</v>
      </c>
      <c r="E88" s="14">
        <f t="shared" si="11"/>
        <v>364.254</v>
      </c>
    </row>
    <row r="89" spans="1:5" ht="25.5" customHeight="1">
      <c r="A89" s="9">
        <v>9</v>
      </c>
      <c r="B89" s="13" t="s">
        <v>20</v>
      </c>
      <c r="C89" s="11" t="s">
        <v>10</v>
      </c>
      <c r="D89" s="14">
        <f>430-5-5-5-10-10-10</f>
        <v>385</v>
      </c>
      <c r="E89" s="14">
        <f t="shared" si="11"/>
        <v>373.968</v>
      </c>
    </row>
    <row r="90" spans="1:5" ht="25.5" customHeight="1">
      <c r="A90" s="9">
        <v>10</v>
      </c>
      <c r="B90" s="13" t="s">
        <v>21</v>
      </c>
      <c r="C90" s="11" t="s">
        <v>10</v>
      </c>
      <c r="D90" s="14">
        <f>460-5-5-5-10-10-10</f>
        <v>415</v>
      </c>
      <c r="E90" s="14">
        <f t="shared" si="11"/>
        <v>403.108</v>
      </c>
    </row>
    <row r="91" spans="1:5" ht="25.5" customHeight="1">
      <c r="A91" s="9">
        <v>11</v>
      </c>
      <c r="B91" s="13" t="s">
        <v>22</v>
      </c>
      <c r="C91" s="11" t="s">
        <v>10</v>
      </c>
      <c r="D91" s="14">
        <f>490-5-5-5-10-10-10</f>
        <v>445</v>
      </c>
      <c r="E91" s="14">
        <f t="shared" si="11"/>
        <v>432.249</v>
      </c>
    </row>
    <row r="92" spans="1:5" ht="25.5" customHeight="1">
      <c r="A92" s="9">
        <v>12</v>
      </c>
      <c r="B92" s="13" t="s">
        <v>23</v>
      </c>
      <c r="C92" s="11" t="s">
        <v>10</v>
      </c>
      <c r="D92" s="14">
        <f>520-5-5-5-10-10-10</f>
        <v>475</v>
      </c>
      <c r="E92" s="14">
        <f t="shared" si="11"/>
        <v>461.389</v>
      </c>
    </row>
    <row r="93" spans="1:5" ht="25.5" customHeight="1">
      <c r="A93" s="9">
        <v>13</v>
      </c>
      <c r="B93" s="13" t="s">
        <v>24</v>
      </c>
      <c r="C93" s="11" t="s">
        <v>10</v>
      </c>
      <c r="D93" s="14">
        <f>550-5-5-5-10-10-10</f>
        <v>505</v>
      </c>
      <c r="E93" s="14">
        <f t="shared" si="11"/>
        <v>490.529</v>
      </c>
    </row>
    <row r="94" spans="1:5" ht="21.75" customHeight="1">
      <c r="A94" s="15" t="s">
        <v>3</v>
      </c>
      <c r="B94" s="15" t="s">
        <v>4</v>
      </c>
      <c r="C94" s="15" t="s">
        <v>5</v>
      </c>
      <c r="D94" s="8" t="s">
        <v>30</v>
      </c>
      <c r="E94" s="8"/>
    </row>
    <row r="95" spans="1:5" ht="21.75" customHeight="1">
      <c r="A95" s="16"/>
      <c r="B95" s="16"/>
      <c r="C95" s="16"/>
      <c r="D95" s="7" t="s">
        <v>7</v>
      </c>
      <c r="E95" s="7" t="s">
        <v>8</v>
      </c>
    </row>
    <row r="96" spans="1:5" ht="21.75" customHeight="1">
      <c r="A96" s="9">
        <v>1</v>
      </c>
      <c r="B96" s="10" t="s">
        <v>9</v>
      </c>
      <c r="C96" s="11" t="s">
        <v>10</v>
      </c>
      <c r="D96" s="14">
        <f>40-2+3+2+2+2+3</f>
        <v>50</v>
      </c>
      <c r="E96" s="14">
        <f aca="true" t="shared" si="12" ref="E96:E99">ROUND(D96/(1+0.0295),3)</f>
        <v>48.567</v>
      </c>
    </row>
    <row r="97" spans="1:5" ht="21.75" customHeight="1">
      <c r="A97" s="9">
        <v>2</v>
      </c>
      <c r="B97" s="10" t="s">
        <v>11</v>
      </c>
      <c r="C97" s="11" t="s">
        <v>10</v>
      </c>
      <c r="D97" s="12">
        <f>35-2+3+2+2+3+5</f>
        <v>48</v>
      </c>
      <c r="E97" s="12">
        <f t="shared" si="12"/>
        <v>46.625</v>
      </c>
    </row>
    <row r="98" spans="1:5" ht="21.75" customHeight="1">
      <c r="A98" s="9">
        <v>3</v>
      </c>
      <c r="B98" s="10" t="s">
        <v>12</v>
      </c>
      <c r="C98" s="11" t="s">
        <v>10</v>
      </c>
      <c r="D98" s="12">
        <f>25+2+2+2+3</f>
        <v>34</v>
      </c>
      <c r="E98" s="12">
        <f t="shared" si="12"/>
        <v>33.026</v>
      </c>
    </row>
    <row r="99" spans="1:5" ht="21.75" customHeight="1">
      <c r="A99" s="9">
        <v>4</v>
      </c>
      <c r="B99" s="10" t="s">
        <v>13</v>
      </c>
      <c r="C99" s="11" t="s">
        <v>14</v>
      </c>
      <c r="D99" s="17">
        <f>950-50-50-30-20+30+20+50+10+50</f>
        <v>960</v>
      </c>
      <c r="E99" s="12">
        <f t="shared" si="12"/>
        <v>932.492</v>
      </c>
    </row>
    <row r="100" spans="1:5" ht="21.75" customHeight="1">
      <c r="A100" s="9">
        <v>5</v>
      </c>
      <c r="B100" s="10" t="s">
        <v>15</v>
      </c>
      <c r="C100" s="11" t="s">
        <v>16</v>
      </c>
      <c r="D100" s="12">
        <f>600-10-5-5-5</f>
        <v>575</v>
      </c>
      <c r="E100" s="12">
        <f>ROUND(D100/(1+0.1275),3)</f>
        <v>509.978</v>
      </c>
    </row>
    <row r="101" spans="1:5" ht="21.75" customHeight="1">
      <c r="A101" s="9">
        <v>6</v>
      </c>
      <c r="B101" s="13" t="s">
        <v>17</v>
      </c>
      <c r="C101" s="9" t="s">
        <v>10</v>
      </c>
      <c r="D101" s="12">
        <f>440-5-10-5-30-30-5</f>
        <v>355</v>
      </c>
      <c r="E101" s="12">
        <f>ROUND(D101/(1+0.0295),3)</f>
        <v>344.828</v>
      </c>
    </row>
    <row r="102" spans="1:5" ht="21.75" customHeight="1">
      <c r="A102" s="9">
        <v>7</v>
      </c>
      <c r="B102" s="13" t="s">
        <v>18</v>
      </c>
      <c r="C102" s="11" t="s">
        <v>10</v>
      </c>
      <c r="D102" s="12">
        <f>460-5-10-5-30-30-5</f>
        <v>375</v>
      </c>
      <c r="E102" s="12">
        <f aca="true" t="shared" si="13" ref="E102:E108">ROUND(D102/(1+0.0295),3)</f>
        <v>364.254</v>
      </c>
    </row>
    <row r="103" spans="1:5" ht="21.75" customHeight="1">
      <c r="A103" s="9">
        <v>8</v>
      </c>
      <c r="B103" s="13" t="s">
        <v>19</v>
      </c>
      <c r="C103" s="11" t="s">
        <v>10</v>
      </c>
      <c r="D103" s="14">
        <f>480-5-10-5-30-30-5</f>
        <v>395</v>
      </c>
      <c r="E103" s="14">
        <f t="shared" si="13"/>
        <v>383.681</v>
      </c>
    </row>
    <row r="104" spans="1:5" ht="21.75" customHeight="1">
      <c r="A104" s="9">
        <v>9</v>
      </c>
      <c r="B104" s="13" t="s">
        <v>20</v>
      </c>
      <c r="C104" s="11" t="s">
        <v>10</v>
      </c>
      <c r="D104" s="14">
        <f>500-5-10-5-30-30-5</f>
        <v>415</v>
      </c>
      <c r="E104" s="14">
        <f t="shared" si="13"/>
        <v>403.108</v>
      </c>
    </row>
    <row r="105" spans="1:5" ht="21.75" customHeight="1">
      <c r="A105" s="9">
        <v>10</v>
      </c>
      <c r="B105" s="13" t="s">
        <v>21</v>
      </c>
      <c r="C105" s="11" t="s">
        <v>10</v>
      </c>
      <c r="D105" s="14">
        <f>520-5-10-5-30-30-5</f>
        <v>435</v>
      </c>
      <c r="E105" s="14">
        <f t="shared" si="13"/>
        <v>422.535</v>
      </c>
    </row>
    <row r="106" spans="1:5" ht="21.75" customHeight="1">
      <c r="A106" s="9">
        <v>11</v>
      </c>
      <c r="B106" s="13" t="s">
        <v>22</v>
      </c>
      <c r="C106" s="11" t="s">
        <v>10</v>
      </c>
      <c r="D106" s="14">
        <f>550-5-10-5-30-30-5</f>
        <v>465</v>
      </c>
      <c r="E106" s="14">
        <f t="shared" si="13"/>
        <v>451.676</v>
      </c>
    </row>
    <row r="107" spans="1:5" ht="21.75" customHeight="1">
      <c r="A107" s="9">
        <v>12</v>
      </c>
      <c r="B107" s="13" t="s">
        <v>23</v>
      </c>
      <c r="C107" s="11" t="s">
        <v>10</v>
      </c>
      <c r="D107" s="14">
        <f>590-5-10-5-30-30-5</f>
        <v>505</v>
      </c>
      <c r="E107" s="14">
        <f t="shared" si="13"/>
        <v>490.529</v>
      </c>
    </row>
    <row r="108" spans="1:5" ht="21.75" customHeight="1">
      <c r="A108" s="9">
        <v>13</v>
      </c>
      <c r="B108" s="13" t="s">
        <v>24</v>
      </c>
      <c r="C108" s="11" t="s">
        <v>10</v>
      </c>
      <c r="D108" s="14">
        <f>620-5-10-5-30-30-5</f>
        <v>535</v>
      </c>
      <c r="E108" s="14">
        <f t="shared" si="13"/>
        <v>519.67</v>
      </c>
    </row>
    <row r="109" spans="1:5" ht="21.75" customHeight="1">
      <c r="A109" s="15" t="s">
        <v>3</v>
      </c>
      <c r="B109" s="15" t="s">
        <v>4</v>
      </c>
      <c r="C109" s="15" t="s">
        <v>5</v>
      </c>
      <c r="D109" s="8" t="s">
        <v>31</v>
      </c>
      <c r="E109" s="8"/>
    </row>
    <row r="110" spans="1:5" ht="21.75" customHeight="1">
      <c r="A110" s="16"/>
      <c r="B110" s="16"/>
      <c r="C110" s="16"/>
      <c r="D110" s="7" t="s">
        <v>7</v>
      </c>
      <c r="E110" s="7" t="s">
        <v>8</v>
      </c>
    </row>
    <row r="111" spans="1:5" ht="18.75" customHeight="1">
      <c r="A111" s="9">
        <v>1</v>
      </c>
      <c r="B111" s="10" t="s">
        <v>9</v>
      </c>
      <c r="C111" s="11" t="s">
        <v>10</v>
      </c>
      <c r="D111" s="14">
        <f>45-2+2+1-5+3</f>
        <v>44</v>
      </c>
      <c r="E111" s="14">
        <f aca="true" t="shared" si="14" ref="E111:E114">ROUND(D111/(1+0.0295),3)</f>
        <v>42.739</v>
      </c>
    </row>
    <row r="112" spans="1:5" ht="18.75" customHeight="1">
      <c r="A112" s="9">
        <v>2</v>
      </c>
      <c r="B112" s="10" t="s">
        <v>11</v>
      </c>
      <c r="C112" s="11" t="s">
        <v>10</v>
      </c>
      <c r="D112" s="14">
        <f>45-2+2+1+1+5</f>
        <v>52</v>
      </c>
      <c r="E112" s="14">
        <f t="shared" si="14"/>
        <v>50.51</v>
      </c>
    </row>
    <row r="113" spans="1:5" ht="18.75" customHeight="1">
      <c r="A113" s="9">
        <v>3</v>
      </c>
      <c r="B113" s="10" t="s">
        <v>12</v>
      </c>
      <c r="C113" s="11" t="s">
        <v>10</v>
      </c>
      <c r="D113" s="14">
        <f>25+2+1+2</f>
        <v>30</v>
      </c>
      <c r="E113" s="14">
        <f t="shared" si="14"/>
        <v>29.14</v>
      </c>
    </row>
    <row r="114" spans="1:5" ht="18.75" customHeight="1">
      <c r="A114" s="9">
        <v>4</v>
      </c>
      <c r="B114" s="10" t="s">
        <v>13</v>
      </c>
      <c r="C114" s="11" t="s">
        <v>14</v>
      </c>
      <c r="D114" s="12">
        <v>900</v>
      </c>
      <c r="E114" s="14">
        <f t="shared" si="14"/>
        <v>874.211</v>
      </c>
    </row>
    <row r="115" spans="1:5" ht="18.75" customHeight="1">
      <c r="A115" s="9">
        <v>5</v>
      </c>
      <c r="B115" s="10" t="s">
        <v>15</v>
      </c>
      <c r="C115" s="11" t="s">
        <v>16</v>
      </c>
      <c r="D115" s="14">
        <f>590-10-5-30-15</f>
        <v>530</v>
      </c>
      <c r="E115" s="14">
        <f>ROUND(D115/(1+0.1275),3)</f>
        <v>470.067</v>
      </c>
    </row>
    <row r="116" spans="1:5" ht="18.75" customHeight="1">
      <c r="A116" s="9">
        <v>6</v>
      </c>
      <c r="B116" s="13" t="s">
        <v>17</v>
      </c>
      <c r="C116" s="9" t="s">
        <v>10</v>
      </c>
      <c r="D116" s="14">
        <f>430-5-5-5-30-15-20</f>
        <v>350</v>
      </c>
      <c r="E116" s="14">
        <f>ROUND(D116/(1+0.0295),3)</f>
        <v>339.971</v>
      </c>
    </row>
    <row r="117" spans="1:5" ht="18.75" customHeight="1">
      <c r="A117" s="9">
        <v>7</v>
      </c>
      <c r="B117" s="13" t="s">
        <v>18</v>
      </c>
      <c r="C117" s="11" t="s">
        <v>10</v>
      </c>
      <c r="D117" s="14">
        <f>440-5-5-5-30-15-20</f>
        <v>360</v>
      </c>
      <c r="E117" s="14">
        <f aca="true" t="shared" si="15" ref="E117:E123">ROUND(D117/(1+0.0295),3)</f>
        <v>349.684</v>
      </c>
    </row>
    <row r="118" spans="1:5" ht="18.75" customHeight="1">
      <c r="A118" s="9">
        <v>8</v>
      </c>
      <c r="B118" s="13" t="s">
        <v>19</v>
      </c>
      <c r="C118" s="11" t="s">
        <v>10</v>
      </c>
      <c r="D118" s="14">
        <f>450-5-5-5-30-15-20</f>
        <v>370</v>
      </c>
      <c r="E118" s="14">
        <f t="shared" si="15"/>
        <v>359.398</v>
      </c>
    </row>
    <row r="119" spans="1:5" ht="18.75" customHeight="1">
      <c r="A119" s="9">
        <v>9</v>
      </c>
      <c r="B119" s="13" t="s">
        <v>20</v>
      </c>
      <c r="C119" s="11" t="s">
        <v>10</v>
      </c>
      <c r="D119" s="14">
        <f>470-5-5-5-30-15-20</f>
        <v>390</v>
      </c>
      <c r="E119" s="14">
        <f t="shared" si="15"/>
        <v>378.825</v>
      </c>
    </row>
    <row r="120" spans="1:5" ht="18.75" customHeight="1">
      <c r="A120" s="9">
        <v>10</v>
      </c>
      <c r="B120" s="13" t="s">
        <v>21</v>
      </c>
      <c r="C120" s="11" t="s">
        <v>10</v>
      </c>
      <c r="D120" s="14">
        <f>500-5-5-5-30-15-20</f>
        <v>420</v>
      </c>
      <c r="E120" s="14">
        <f t="shared" si="15"/>
        <v>407.965</v>
      </c>
    </row>
    <row r="121" spans="1:5" ht="18.75" customHeight="1">
      <c r="A121" s="9">
        <v>11</v>
      </c>
      <c r="B121" s="13" t="s">
        <v>22</v>
      </c>
      <c r="C121" s="11" t="s">
        <v>10</v>
      </c>
      <c r="D121" s="14">
        <f>530-5-5-5-30-15-20</f>
        <v>450</v>
      </c>
      <c r="E121" s="14">
        <f t="shared" si="15"/>
        <v>437.105</v>
      </c>
    </row>
    <row r="122" spans="1:5" ht="18.75" customHeight="1">
      <c r="A122" s="9">
        <v>12</v>
      </c>
      <c r="B122" s="13" t="s">
        <v>23</v>
      </c>
      <c r="C122" s="11" t="s">
        <v>10</v>
      </c>
      <c r="D122" s="14">
        <f>560-5-5-5-30-15-20</f>
        <v>480</v>
      </c>
      <c r="E122" s="14">
        <f t="shared" si="15"/>
        <v>466.246</v>
      </c>
    </row>
    <row r="123" spans="1:5" ht="18.75" customHeight="1">
      <c r="A123" s="9">
        <v>13</v>
      </c>
      <c r="B123" s="13" t="s">
        <v>24</v>
      </c>
      <c r="C123" s="11" t="s">
        <v>10</v>
      </c>
      <c r="D123" s="14">
        <f>590-5-5-5-30-15-20</f>
        <v>510</v>
      </c>
      <c r="E123" s="14">
        <f t="shared" si="15"/>
        <v>495.386</v>
      </c>
    </row>
    <row r="124" spans="1:5" ht="24.75" customHeight="1">
      <c r="A124" s="18" t="s">
        <v>32</v>
      </c>
      <c r="B124" s="19"/>
      <c r="C124" s="19"/>
      <c r="D124" s="19"/>
      <c r="E124" s="20"/>
    </row>
    <row r="125" spans="1:5" ht="21.75" customHeight="1">
      <c r="A125" s="9">
        <v>1</v>
      </c>
      <c r="B125" s="21" t="s">
        <v>33</v>
      </c>
      <c r="C125" s="9" t="s">
        <v>16</v>
      </c>
      <c r="D125" s="9" t="s">
        <v>34</v>
      </c>
      <c r="E125" s="22" t="s">
        <v>35</v>
      </c>
    </row>
    <row r="126" spans="1:5" ht="21.75" customHeight="1">
      <c r="A126" s="9">
        <v>2</v>
      </c>
      <c r="B126" s="21" t="s">
        <v>36</v>
      </c>
      <c r="C126" s="9" t="s">
        <v>16</v>
      </c>
      <c r="D126" s="9" t="s">
        <v>37</v>
      </c>
      <c r="E126" s="22"/>
    </row>
    <row r="127" spans="1:5" ht="21.75" customHeight="1">
      <c r="A127" s="9">
        <v>3</v>
      </c>
      <c r="B127" s="21" t="s">
        <v>38</v>
      </c>
      <c r="C127" s="9" t="s">
        <v>16</v>
      </c>
      <c r="D127" s="11" t="s">
        <v>39</v>
      </c>
      <c r="E127" s="22"/>
    </row>
    <row r="128" spans="1:5" ht="21.75" customHeight="1">
      <c r="A128" s="9">
        <v>4</v>
      </c>
      <c r="B128" s="21" t="s">
        <v>6</v>
      </c>
      <c r="C128" s="9" t="s">
        <v>16</v>
      </c>
      <c r="D128" s="11" t="s">
        <v>40</v>
      </c>
      <c r="E128" s="22"/>
    </row>
    <row r="146" spans="4:5" ht="15">
      <c r="D146" s="23"/>
      <c r="E146" s="23"/>
    </row>
    <row r="147" spans="4:5" ht="15">
      <c r="D147" s="24"/>
      <c r="E147" s="24"/>
    </row>
    <row r="148" spans="4:5" ht="15">
      <c r="D148" s="24"/>
      <c r="E148" s="25"/>
    </row>
    <row r="149" spans="4:5" ht="15">
      <c r="D149" s="24"/>
      <c r="E149" s="25"/>
    </row>
    <row r="150" spans="4:5" ht="15">
      <c r="D150" s="24"/>
      <c r="E150" s="25"/>
    </row>
    <row r="151" spans="4:5" ht="15">
      <c r="D151" s="24"/>
      <c r="E151" s="25"/>
    </row>
    <row r="152" spans="4:5" ht="15">
      <c r="D152" s="24"/>
      <c r="E152" s="25"/>
    </row>
    <row r="153" spans="4:5" ht="15">
      <c r="D153" s="24"/>
      <c r="E153" s="25"/>
    </row>
    <row r="154" spans="4:5" ht="15">
      <c r="D154" s="24"/>
      <c r="E154" s="25"/>
    </row>
  </sheetData>
  <sheetProtection/>
  <mergeCells count="37">
    <mergeCell ref="A1:E1"/>
    <mergeCell ref="A2:E2"/>
    <mergeCell ref="A3:E3"/>
    <mergeCell ref="D4:E4"/>
    <mergeCell ref="D19:E19"/>
    <mergeCell ref="D34:E34"/>
    <mergeCell ref="D49:E49"/>
    <mergeCell ref="D64:E64"/>
    <mergeCell ref="D79:E79"/>
    <mergeCell ref="D94:E94"/>
    <mergeCell ref="D109:E109"/>
    <mergeCell ref="A124:E124"/>
    <mergeCell ref="A4:A5"/>
    <mergeCell ref="A19:A20"/>
    <mergeCell ref="A34:A35"/>
    <mergeCell ref="A49:A50"/>
    <mergeCell ref="A64:A65"/>
    <mergeCell ref="A79:A80"/>
    <mergeCell ref="A94:A95"/>
    <mergeCell ref="A109:A110"/>
    <mergeCell ref="B4:B5"/>
    <mergeCell ref="B19:B20"/>
    <mergeCell ref="B34:B35"/>
    <mergeCell ref="B49:B50"/>
    <mergeCell ref="B64:B65"/>
    <mergeCell ref="B79:B80"/>
    <mergeCell ref="B94:B95"/>
    <mergeCell ref="B109:B110"/>
    <mergeCell ref="C4:C5"/>
    <mergeCell ref="C19:C20"/>
    <mergeCell ref="C34:C35"/>
    <mergeCell ref="C49:C50"/>
    <mergeCell ref="C64:C65"/>
    <mergeCell ref="C79:C80"/>
    <mergeCell ref="C94:C95"/>
    <mergeCell ref="C109:C110"/>
    <mergeCell ref="E125:E128"/>
  </mergeCell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启蒙</cp:lastModifiedBy>
  <cp:lastPrinted>2019-11-11T04:51:36Z</cp:lastPrinted>
  <dcterms:created xsi:type="dcterms:W3CDTF">1996-12-17T01:32:42Z</dcterms:created>
  <dcterms:modified xsi:type="dcterms:W3CDTF">2023-07-07T04:04:52Z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0F2505FF5AFC41BBACF2F4D9A53FE3C6</vt:lpwstr>
  </property>
</Properties>
</file>